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595" windowHeight="5640" activeTab="1"/>
  </bookViews>
  <sheets>
    <sheet name="Bemessung ohne Druckbewehrung" sheetId="4" r:id="rId1"/>
    <sheet name="Bemessung mit Druckbewehrung" sheetId="5" r:id="rId2"/>
  </sheets>
  <calcPr calcId="125725"/>
</workbook>
</file>

<file path=xl/calcChain.xml><?xml version="1.0" encoding="utf-8"?>
<calcChain xmlns="http://schemas.openxmlformats.org/spreadsheetml/2006/main">
  <c r="H25" i="5"/>
  <c r="E25"/>
  <c r="E24"/>
  <c r="E22"/>
  <c r="E21"/>
  <c r="H24"/>
  <c r="H23" i="4"/>
  <c r="H24"/>
  <c r="B17" i="5"/>
  <c r="E12"/>
  <c r="E16"/>
  <c r="E13"/>
  <c r="E14" s="1"/>
  <c r="E15" s="1"/>
  <c r="B17" i="4"/>
  <c r="E13"/>
  <c r="E16"/>
  <c r="E12"/>
  <c r="E14"/>
  <c r="E17"/>
  <c r="E19" s="1"/>
  <c r="E20" s="1"/>
  <c r="E22" s="1"/>
  <c r="E15"/>
  <c r="E19" i="5" l="1"/>
  <c r="E17"/>
  <c r="E20"/>
  <c r="L17" s="1"/>
  <c r="M17" s="1"/>
  <c r="L14"/>
  <c r="M14" s="1"/>
  <c r="L19"/>
  <c r="M19" s="1"/>
  <c r="H16" i="4"/>
  <c r="I16" s="1"/>
  <c r="H18"/>
  <c r="I18" s="1"/>
  <c r="H21"/>
  <c r="I21" s="1"/>
  <c r="H15"/>
  <c r="I15" s="1"/>
  <c r="H14"/>
  <c r="I14" s="1"/>
  <c r="H17"/>
  <c r="I17" s="1"/>
  <c r="H20"/>
  <c r="I20" s="1"/>
  <c r="H13"/>
  <c r="I13" s="1"/>
  <c r="H19"/>
  <c r="I19" s="1"/>
  <c r="L21" i="5" l="1"/>
  <c r="M21" s="1"/>
  <c r="L16"/>
  <c r="M16" s="1"/>
  <c r="L18"/>
  <c r="M18" s="1"/>
  <c r="L20"/>
  <c r="M20" s="1"/>
  <c r="L13"/>
  <c r="M13" s="1"/>
  <c r="L15"/>
  <c r="M15" s="1"/>
  <c r="H19"/>
  <c r="I19" s="1"/>
  <c r="H18"/>
  <c r="I18" s="1"/>
  <c r="H13"/>
  <c r="I13" s="1"/>
  <c r="H14"/>
  <c r="I14" s="1"/>
  <c r="H20" l="1"/>
  <c r="I20" s="1"/>
  <c r="H16"/>
  <c r="I16" s="1"/>
  <c r="H15"/>
  <c r="I15" s="1"/>
  <c r="H17"/>
  <c r="I17" s="1"/>
  <c r="H21"/>
  <c r="I21" s="1"/>
</calcChain>
</file>

<file path=xl/sharedStrings.xml><?xml version="1.0" encoding="utf-8"?>
<sst xmlns="http://schemas.openxmlformats.org/spreadsheetml/2006/main" count="163" uniqueCount="56">
  <si>
    <t>l=</t>
  </si>
  <si>
    <t>q=</t>
  </si>
  <si>
    <t>g=</t>
  </si>
  <si>
    <t>m</t>
  </si>
  <si>
    <t>kN/m</t>
  </si>
  <si>
    <t>cm</t>
  </si>
  <si>
    <t>h=</t>
  </si>
  <si>
    <t>b=</t>
  </si>
  <si>
    <t>Mg=</t>
  </si>
  <si>
    <t>Mq=</t>
  </si>
  <si>
    <t>Msd=</t>
  </si>
  <si>
    <t>kNm</t>
  </si>
  <si>
    <t>d1=</t>
  </si>
  <si>
    <t>d=h-d1=</t>
  </si>
  <si>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g=</t>
    </r>
  </si>
  <si>
    <r>
      <rPr>
        <sz val="11"/>
        <color indexed="8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q=</t>
    </r>
  </si>
  <si>
    <t>fcd=</t>
  </si>
  <si>
    <t>kN/cm²</t>
  </si>
  <si>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dgrenz=</t>
    </r>
  </si>
  <si>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d=</t>
    </r>
  </si>
  <si>
    <t>z=</t>
  </si>
  <si>
    <r>
      <rPr>
        <sz val="11"/>
        <color indexed="8"/>
        <rFont val="Symbol"/>
        <family val="1"/>
        <charset val="2"/>
      </rPr>
      <t>z</t>
    </r>
    <r>
      <rPr>
        <sz val="11"/>
        <color theme="1"/>
        <rFont val="Calibri"/>
        <family val="2"/>
        <scheme val="minor"/>
      </rPr>
      <t>=</t>
    </r>
  </si>
  <si>
    <t>Aserf=</t>
  </si>
  <si>
    <t>fyd</t>
  </si>
  <si>
    <t>cm²</t>
  </si>
  <si>
    <t>Ø8</t>
  </si>
  <si>
    <t>Ø</t>
  </si>
  <si>
    <t>Stk</t>
  </si>
  <si>
    <t>Avor</t>
  </si>
  <si>
    <t>Ø10</t>
  </si>
  <si>
    <t>Ø12</t>
  </si>
  <si>
    <t>Ø14</t>
  </si>
  <si>
    <t>Ø16</t>
  </si>
  <si>
    <t>Ø20</t>
  </si>
  <si>
    <t>Ø26</t>
  </si>
  <si>
    <t>Ø30</t>
  </si>
  <si>
    <t>Ø36</t>
  </si>
  <si>
    <t xml:space="preserve"> </t>
  </si>
  <si>
    <t>Mögliche Hauptzugbewehrungen</t>
  </si>
  <si>
    <t>Asmin</t>
  </si>
  <si>
    <t>Asmax</t>
  </si>
  <si>
    <t>BIEGEBEMESSUNG RECHTECKSQUERSCHNITT OHNE DRUCKBEWEHRUNG</t>
  </si>
  <si>
    <t>BIEGEBEMESSUNG RECHTECKSQUERSCHNITT MIT DRUCKBEWEHRUNG</t>
  </si>
  <si>
    <t>dmin=</t>
  </si>
  <si>
    <t>As1erf=</t>
  </si>
  <si>
    <t>KNm</t>
  </si>
  <si>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M=</t>
    </r>
  </si>
  <si>
    <t>As2erf=</t>
  </si>
  <si>
    <t>d2=</t>
  </si>
  <si>
    <t>Mögliche Druckbewehrungen</t>
  </si>
  <si>
    <t>NACH ÖNORM EN 1992</t>
  </si>
  <si>
    <t>Asvor</t>
  </si>
  <si>
    <t>Mc,max=</t>
  </si>
  <si>
    <t>MEd=</t>
  </si>
  <si>
    <t>d2/d=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</si>
  <si>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s2=</t>
    </r>
  </si>
</sst>
</file>

<file path=xl/styles.xml><?xml version="1.0" encoding="utf-8"?>
<styleSheet xmlns="http://schemas.openxmlformats.org/spreadsheetml/2006/main">
  <numFmts count="2">
    <numFmt numFmtId="164" formatCode="0.000"/>
    <numFmt numFmtId="170" formatCode="0.0"/>
  </numFmts>
  <fonts count="6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2" fontId="2" fillId="2" borderId="0" xfId="0" applyNumberFormat="1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2" fillId="4" borderId="0" xfId="0" applyFont="1" applyFill="1" applyProtection="1">
      <protection locked="0"/>
    </xf>
    <xf numFmtId="0" fontId="2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0" fillId="0" borderId="0" xfId="0" applyFont="1"/>
    <xf numFmtId="170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5</xdr:col>
      <xdr:colOff>0</xdr:colOff>
      <xdr:row>9</xdr:row>
      <xdr:rowOff>9525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0476" r="27048" b="22858"/>
        <a:stretch>
          <a:fillRect/>
        </a:stretch>
      </xdr:blipFill>
      <xdr:spPr bwMode="auto">
        <a:xfrm>
          <a:off x="0" y="676275"/>
          <a:ext cx="3886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5</xdr:col>
      <xdr:colOff>0</xdr:colOff>
      <xdr:row>9</xdr:row>
      <xdr:rowOff>9525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0476" r="27048" b="22858"/>
        <a:stretch>
          <a:fillRect/>
        </a:stretch>
      </xdr:blipFill>
      <xdr:spPr bwMode="auto">
        <a:xfrm>
          <a:off x="0" y="676275"/>
          <a:ext cx="3886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10" workbookViewId="0">
      <selection activeCell="B13" sqref="B13"/>
    </sheetView>
  </sheetViews>
  <sheetFormatPr baseColWidth="10" defaultRowHeight="15"/>
  <cols>
    <col min="1" max="1" width="11.42578125" style="3"/>
    <col min="5" max="5" width="12.5703125" bestFit="1" customWidth="1"/>
    <col min="8" max="8" width="12.5703125" bestFit="1" customWidth="1"/>
  </cols>
  <sheetData>
    <row r="1" spans="1:10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/>
      <c r="B2" s="23"/>
      <c r="C2" s="23"/>
      <c r="D2" s="23"/>
      <c r="E2" s="23"/>
      <c r="F2" s="23"/>
      <c r="G2" s="23"/>
      <c r="H2" s="23"/>
      <c r="I2" s="23"/>
      <c r="J2" s="23"/>
    </row>
    <row r="4" spans="1:10">
      <c r="G4" s="24" t="s">
        <v>50</v>
      </c>
      <c r="H4" s="24"/>
      <c r="I4" s="24"/>
      <c r="J4" s="24"/>
    </row>
    <row r="5" spans="1:10">
      <c r="G5" s="24"/>
      <c r="H5" s="24"/>
      <c r="I5" s="24"/>
      <c r="J5" s="24"/>
    </row>
    <row r="11" spans="1:10">
      <c r="G11" s="21" t="s">
        <v>38</v>
      </c>
      <c r="H11" s="21"/>
      <c r="I11" s="21"/>
      <c r="J11" s="21"/>
    </row>
    <row r="12" spans="1:10">
      <c r="A12" s="2" t="s">
        <v>37</v>
      </c>
      <c r="B12" s="1" t="s">
        <v>37</v>
      </c>
      <c r="C12" s="1"/>
      <c r="D12" s="3" t="s">
        <v>8</v>
      </c>
      <c r="E12" s="4">
        <f>B17*B15^2/8</f>
        <v>37.5</v>
      </c>
      <c r="F12" t="s">
        <v>11</v>
      </c>
      <c r="G12" s="7" t="s">
        <v>26</v>
      </c>
      <c r="H12" s="8" t="s">
        <v>27</v>
      </c>
      <c r="I12" s="8" t="s">
        <v>51</v>
      </c>
      <c r="J12" s="9"/>
    </row>
    <row r="13" spans="1:10">
      <c r="A13" s="2" t="s">
        <v>7</v>
      </c>
      <c r="B13" s="20">
        <v>30</v>
      </c>
      <c r="C13" s="1" t="s">
        <v>5</v>
      </c>
      <c r="D13" s="3" t="s">
        <v>9</v>
      </c>
      <c r="E13" s="4">
        <f>B16*B15^2/8</f>
        <v>62.5</v>
      </c>
      <c r="F13" t="s">
        <v>11</v>
      </c>
      <c r="G13" s="7" t="s">
        <v>25</v>
      </c>
      <c r="H13" s="10">
        <f>INT($E$22/(0.4^2*3.14159))+1</f>
        <v>20</v>
      </c>
      <c r="I13" s="11">
        <f>H13*(0.4^2*3.14159)</f>
        <v>10.053088000000001</v>
      </c>
      <c r="J13" s="9" t="s">
        <v>24</v>
      </c>
    </row>
    <row r="14" spans="1:10">
      <c r="A14" s="2" t="s">
        <v>6</v>
      </c>
      <c r="B14" s="20">
        <v>40</v>
      </c>
      <c r="C14" s="1" t="s">
        <v>5</v>
      </c>
      <c r="D14" s="3" t="s">
        <v>10</v>
      </c>
      <c r="E14" s="4">
        <f>E12*B19+E13*B20</f>
        <v>144.375</v>
      </c>
      <c r="F14" t="s">
        <v>11</v>
      </c>
      <c r="G14" s="7" t="s">
        <v>29</v>
      </c>
      <c r="H14" s="10">
        <f>INT($E$22/(0.5^2*3.14159))+1</f>
        <v>13</v>
      </c>
      <c r="I14" s="11">
        <f>H14*(0.5^2*3.14159)</f>
        <v>10.210167499999999</v>
      </c>
      <c r="J14" s="9" t="s">
        <v>24</v>
      </c>
    </row>
    <row r="15" spans="1:10">
      <c r="A15" s="2" t="s">
        <v>0</v>
      </c>
      <c r="B15" s="20">
        <v>10</v>
      </c>
      <c r="C15" s="1" t="s">
        <v>3</v>
      </c>
      <c r="D15" s="3" t="s">
        <v>43</v>
      </c>
      <c r="E15" s="4">
        <f>(E14*100/0.362/B13/B23)^0.5</f>
        <v>28.214531966231704</v>
      </c>
      <c r="F15" t="s">
        <v>5</v>
      </c>
      <c r="G15" s="7" t="s">
        <v>30</v>
      </c>
      <c r="H15" s="10">
        <f>INT($E$22/(0.6^2*3.14159))+1</f>
        <v>9</v>
      </c>
      <c r="I15" s="11">
        <f>H15*(0.6^2*3.14159)</f>
        <v>10.178751599999998</v>
      </c>
      <c r="J15" s="9" t="s">
        <v>24</v>
      </c>
    </row>
    <row r="16" spans="1:10">
      <c r="A16" s="2" t="s">
        <v>1</v>
      </c>
      <c r="B16" s="20">
        <v>5</v>
      </c>
      <c r="C16" s="1" t="s">
        <v>4</v>
      </c>
      <c r="D16" s="3" t="s">
        <v>13</v>
      </c>
      <c r="E16">
        <f>B14-B22</f>
        <v>35</v>
      </c>
      <c r="F16" t="s">
        <v>5</v>
      </c>
      <c r="G16" s="7" t="s">
        <v>31</v>
      </c>
      <c r="H16" s="10">
        <f>INT($E$22/(0.7^2*3.14159))+1</f>
        <v>7</v>
      </c>
      <c r="I16" s="11">
        <f>H16*(0.7^2*3.14159)</f>
        <v>10.775653699999998</v>
      </c>
      <c r="J16" s="9" t="s">
        <v>24</v>
      </c>
    </row>
    <row r="17" spans="1:10">
      <c r="A17" s="3" t="s">
        <v>2</v>
      </c>
      <c r="B17">
        <f>B13/100*B14/100*25</f>
        <v>3</v>
      </c>
      <c r="C17" t="s">
        <v>4</v>
      </c>
      <c r="D17" s="3" t="s">
        <v>19</v>
      </c>
      <c r="E17" s="5">
        <f>E14*100/(B13*E16^2*B23)</f>
        <v>0.2352437981180496</v>
      </c>
      <c r="G17" s="7" t="s">
        <v>32</v>
      </c>
      <c r="H17" s="10">
        <f>INT($E$22/(0.8^2*3.14159))+1</f>
        <v>5</v>
      </c>
      <c r="I17" s="11">
        <f>H17*(0.8^2*3.14159)</f>
        <v>10.053088000000001</v>
      </c>
      <c r="J17" s="9" t="s">
        <v>24</v>
      </c>
    </row>
    <row r="18" spans="1:10">
      <c r="D18" s="3" t="s">
        <v>18</v>
      </c>
      <c r="E18">
        <v>0.36199999999999999</v>
      </c>
      <c r="G18" s="7" t="s">
        <v>33</v>
      </c>
      <c r="H18" s="10">
        <f>INT($E$22/(1^2*3.14159))+1</f>
        <v>4</v>
      </c>
      <c r="I18" s="11">
        <f>H18*(1^2*3.14159)</f>
        <v>12.56636</v>
      </c>
      <c r="J18" s="9" t="s">
        <v>24</v>
      </c>
    </row>
    <row r="19" spans="1:10">
      <c r="A19" s="3" t="s">
        <v>14</v>
      </c>
      <c r="B19" s="4">
        <v>1.35</v>
      </c>
      <c r="D19" s="3" t="s">
        <v>21</v>
      </c>
      <c r="E19" s="5">
        <f>0.5*(1+(1-2.0554*E17)^0.5)</f>
        <v>0.85933267919442036</v>
      </c>
      <c r="G19" s="7" t="s">
        <v>34</v>
      </c>
      <c r="H19" s="10">
        <f>INT($E$22/(1.3^2*3.14159))+1</f>
        <v>2</v>
      </c>
      <c r="I19" s="11">
        <f>H19*(1.3^2*3.14159)</f>
        <v>10.618574200000001</v>
      </c>
      <c r="J19" s="9" t="s">
        <v>24</v>
      </c>
    </row>
    <row r="20" spans="1:10">
      <c r="A20" s="3" t="s">
        <v>15</v>
      </c>
      <c r="B20" s="4">
        <v>1.5</v>
      </c>
      <c r="D20" s="3" t="s">
        <v>20</v>
      </c>
      <c r="E20" s="4">
        <f>E16*E19</f>
        <v>30.076643771804711</v>
      </c>
      <c r="F20" t="s">
        <v>5</v>
      </c>
      <c r="G20" s="7" t="s">
        <v>35</v>
      </c>
      <c r="H20" s="10">
        <f>INT($E$22/(1.5^2*3.14159))+1</f>
        <v>2</v>
      </c>
      <c r="I20" s="11">
        <f>H20*(1.5^2*3.14159)</f>
        <v>14.137155</v>
      </c>
      <c r="J20" s="9" t="s">
        <v>24</v>
      </c>
    </row>
    <row r="21" spans="1:10">
      <c r="G21" s="7" t="s">
        <v>36</v>
      </c>
      <c r="H21" s="10">
        <f>INT($E$22/(1.8^2*3.14159))+1</f>
        <v>1</v>
      </c>
      <c r="I21" s="11">
        <f>H21*(1.8^2*3.14159)</f>
        <v>10.1787516</v>
      </c>
      <c r="J21" s="9" t="s">
        <v>24</v>
      </c>
    </row>
    <row r="22" spans="1:10">
      <c r="A22" s="2" t="s">
        <v>12</v>
      </c>
      <c r="B22" s="20">
        <v>5</v>
      </c>
      <c r="C22" s="1" t="s">
        <v>5</v>
      </c>
      <c r="D22" s="12" t="s">
        <v>22</v>
      </c>
      <c r="E22" s="13">
        <f>E14*100/(E20*B24)</f>
        <v>10.04233554932487</v>
      </c>
      <c r="F22" s="14" t="s">
        <v>24</v>
      </c>
      <c r="G22" s="6" t="s">
        <v>37</v>
      </c>
    </row>
    <row r="23" spans="1:10">
      <c r="A23" s="2" t="s">
        <v>16</v>
      </c>
      <c r="B23" s="20">
        <v>1.67</v>
      </c>
      <c r="C23" s="1" t="s">
        <v>17</v>
      </c>
      <c r="G23" s="7" t="s">
        <v>39</v>
      </c>
      <c r="H23" s="11">
        <f>0.0013*B13*E16</f>
        <v>1.365</v>
      </c>
      <c r="I23" s="9" t="s">
        <v>24</v>
      </c>
      <c r="J23" s="9"/>
    </row>
    <row r="24" spans="1:10">
      <c r="A24" s="2" t="s">
        <v>23</v>
      </c>
      <c r="B24" s="20">
        <v>47.8</v>
      </c>
      <c r="C24" s="1" t="s">
        <v>17</v>
      </c>
      <c r="G24" s="7" t="s">
        <v>40</v>
      </c>
      <c r="H24" s="11">
        <f>0.04*B13*B14</f>
        <v>48</v>
      </c>
      <c r="I24" s="9" t="s">
        <v>24</v>
      </c>
      <c r="J24" s="9"/>
    </row>
  </sheetData>
  <sheetProtection password="ACE7" sheet="1" objects="1" scenarios="1" selectLockedCells="1"/>
  <mergeCells count="3">
    <mergeCell ref="G11:J11"/>
    <mergeCell ref="A1:J2"/>
    <mergeCell ref="G4:J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B13" sqref="B13"/>
    </sheetView>
  </sheetViews>
  <sheetFormatPr baseColWidth="10" defaultRowHeight="15"/>
  <cols>
    <col min="1" max="1" width="11.42578125" style="3"/>
    <col min="5" max="5" width="12.5703125" bestFit="1" customWidth="1"/>
    <col min="8" max="8" width="8.42578125" customWidth="1"/>
    <col min="9" max="9" width="7.42578125" customWidth="1"/>
    <col min="10" max="10" width="5.140625" customWidth="1"/>
    <col min="12" max="12" width="5.5703125" customWidth="1"/>
    <col min="13" max="13" width="9.140625" customWidth="1"/>
    <col min="14" max="14" width="5.7109375" customWidth="1"/>
  </cols>
  <sheetData>
    <row r="1" spans="1:14" ht="15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 ht="15" customHeight="1">
      <c r="F4" s="26" t="s">
        <v>50</v>
      </c>
      <c r="G4" s="26"/>
      <c r="H4" s="26"/>
      <c r="I4" s="26"/>
      <c r="J4" s="26"/>
      <c r="K4" s="26"/>
      <c r="L4" s="26"/>
      <c r="M4" s="26"/>
      <c r="N4" s="26"/>
    </row>
    <row r="5" spans="1:14" ht="15" customHeight="1">
      <c r="F5" s="26"/>
      <c r="G5" s="26"/>
      <c r="H5" s="26"/>
      <c r="I5" s="26"/>
      <c r="J5" s="26"/>
      <c r="K5" s="26"/>
      <c r="L5" s="26"/>
      <c r="M5" s="26"/>
      <c r="N5" s="26"/>
    </row>
    <row r="11" spans="1:14">
      <c r="G11" s="21" t="s">
        <v>38</v>
      </c>
      <c r="H11" s="21"/>
      <c r="I11" s="21"/>
      <c r="J11" s="21"/>
      <c r="K11" s="25" t="s">
        <v>49</v>
      </c>
      <c r="L11" s="25"/>
      <c r="M11" s="25"/>
      <c r="N11" s="25"/>
    </row>
    <row r="12" spans="1:14">
      <c r="A12" s="2" t="s">
        <v>37</v>
      </c>
      <c r="B12" s="1" t="s">
        <v>37</v>
      </c>
      <c r="C12" s="1"/>
      <c r="D12" s="3" t="s">
        <v>8</v>
      </c>
      <c r="E12" s="4">
        <f>B17*B15^2/8</f>
        <v>23.70703125</v>
      </c>
      <c r="F12" t="s">
        <v>11</v>
      </c>
      <c r="G12" s="7" t="s">
        <v>26</v>
      </c>
      <c r="H12" s="8" t="s">
        <v>27</v>
      </c>
      <c r="I12" s="8" t="s">
        <v>28</v>
      </c>
      <c r="J12" s="9"/>
      <c r="K12" s="15" t="s">
        <v>26</v>
      </c>
      <c r="L12" s="16" t="s">
        <v>27</v>
      </c>
      <c r="M12" s="16" t="s">
        <v>28</v>
      </c>
      <c r="N12" s="17"/>
    </row>
    <row r="13" spans="1:14">
      <c r="A13" s="2" t="s">
        <v>7</v>
      </c>
      <c r="B13" s="20">
        <v>30</v>
      </c>
      <c r="C13" s="1" t="s">
        <v>5</v>
      </c>
      <c r="D13" s="3" t="s">
        <v>9</v>
      </c>
      <c r="E13" s="4">
        <f>B16*B15^2/8</f>
        <v>108.375</v>
      </c>
      <c r="F13" t="s">
        <v>11</v>
      </c>
      <c r="G13" s="7" t="s">
        <v>25</v>
      </c>
      <c r="H13" s="10">
        <f>INT($E$24/(0.4^2*3.14159))+1</f>
        <v>37</v>
      </c>
      <c r="I13" s="11">
        <f>H13*(0.4^2*3.14159)</f>
        <v>18.598212800000002</v>
      </c>
      <c r="J13" s="9" t="s">
        <v>24</v>
      </c>
      <c r="K13" s="15" t="s">
        <v>25</v>
      </c>
      <c r="L13" s="18">
        <f>INT($E$25/(0.4^2*3.14159))+1</f>
        <v>8</v>
      </c>
      <c r="M13" s="19">
        <f>L13*(0.4^2*3.14159)</f>
        <v>4.0212352000000005</v>
      </c>
      <c r="N13" s="17" t="s">
        <v>24</v>
      </c>
    </row>
    <row r="14" spans="1:14">
      <c r="A14" s="2" t="s">
        <v>6</v>
      </c>
      <c r="B14" s="20">
        <v>35</v>
      </c>
      <c r="C14" s="1" t="s">
        <v>5</v>
      </c>
      <c r="D14" s="3" t="s">
        <v>53</v>
      </c>
      <c r="E14" s="4">
        <f>E12*B19+E13*B20</f>
        <v>194.56699218750001</v>
      </c>
      <c r="F14" t="s">
        <v>11</v>
      </c>
      <c r="G14" s="7" t="s">
        <v>29</v>
      </c>
      <c r="H14" s="10">
        <f>INT($E$24/(0.5^2*3.14159))+1</f>
        <v>24</v>
      </c>
      <c r="I14" s="11">
        <f>H14*(0.5^2*3.14159)</f>
        <v>18.849539999999998</v>
      </c>
      <c r="J14" s="9" t="s">
        <v>24</v>
      </c>
      <c r="K14" s="15" t="s">
        <v>29</v>
      </c>
      <c r="L14" s="18">
        <f>INT($E$25/(0.5^2*3.14159))+1</f>
        <v>6</v>
      </c>
      <c r="M14" s="19">
        <f>L14*(0.5^2*3.14159)</f>
        <v>4.7123849999999994</v>
      </c>
      <c r="N14" s="17" t="s">
        <v>24</v>
      </c>
    </row>
    <row r="15" spans="1:14">
      <c r="A15" s="2" t="s">
        <v>0</v>
      </c>
      <c r="B15" s="20">
        <v>8.5</v>
      </c>
      <c r="C15" s="1" t="s">
        <v>3</v>
      </c>
      <c r="D15" s="3" t="s">
        <v>43</v>
      </c>
      <c r="E15" s="4">
        <f>(E14*100/0.362/B13/B23)^0.5</f>
        <v>32.753780509532874</v>
      </c>
      <c r="F15" t="s">
        <v>5</v>
      </c>
      <c r="G15" s="7" t="s">
        <v>30</v>
      </c>
      <c r="H15" s="10">
        <f>INT($E$24/(0.6^2*3.14159))+1</f>
        <v>17</v>
      </c>
      <c r="I15" s="11">
        <f>H15*(0.6^2*3.14159)</f>
        <v>19.226530799999999</v>
      </c>
      <c r="J15" s="9" t="s">
        <v>24</v>
      </c>
      <c r="K15" s="15" t="s">
        <v>30</v>
      </c>
      <c r="L15" s="18">
        <f>INT($E$25/(0.6^2*3.14159))+1</f>
        <v>4</v>
      </c>
      <c r="M15" s="19">
        <f>L15*(0.6^2*3.14159)</f>
        <v>4.5238895999999995</v>
      </c>
      <c r="N15" s="17" t="s">
        <v>24</v>
      </c>
    </row>
    <row r="16" spans="1:14">
      <c r="A16" s="2" t="s">
        <v>1</v>
      </c>
      <c r="B16" s="20">
        <v>12</v>
      </c>
      <c r="C16" s="1" t="s">
        <v>4</v>
      </c>
      <c r="D16" s="3" t="s">
        <v>13</v>
      </c>
      <c r="E16">
        <f>B14-B22</f>
        <v>29</v>
      </c>
      <c r="F16" t="s">
        <v>5</v>
      </c>
      <c r="G16" s="7" t="s">
        <v>31</v>
      </c>
      <c r="H16" s="10">
        <f>INT($E$24/(0.7^2*3.14159))+1</f>
        <v>12</v>
      </c>
      <c r="I16" s="11">
        <f>H16*(0.7^2*3.14159)</f>
        <v>18.472549199999996</v>
      </c>
      <c r="J16" s="9" t="s">
        <v>24</v>
      </c>
      <c r="K16" s="15" t="s">
        <v>31</v>
      </c>
      <c r="L16" s="18">
        <f>INT($E$25/(0.7^2*3.14159))+1</f>
        <v>3</v>
      </c>
      <c r="M16" s="19">
        <f>L16*(0.7^2*3.14159)</f>
        <v>4.618137299999999</v>
      </c>
      <c r="N16" s="17" t="s">
        <v>24</v>
      </c>
    </row>
    <row r="17" spans="1:14">
      <c r="A17" s="3" t="s">
        <v>2</v>
      </c>
      <c r="B17">
        <f>B13/100*B14/100*25</f>
        <v>2.625</v>
      </c>
      <c r="C17" t="s">
        <v>4</v>
      </c>
      <c r="D17" s="3" t="s">
        <v>19</v>
      </c>
      <c r="E17" s="5">
        <f>E14*100/(B13*E16^2*B23)</f>
        <v>0.4617803446317828</v>
      </c>
      <c r="G17" s="7" t="s">
        <v>32</v>
      </c>
      <c r="H17" s="10">
        <f>INT($E$24/(0.8^2*3.14159))+1</f>
        <v>10</v>
      </c>
      <c r="I17" s="11">
        <f>H17*(0.8^2*3.14159)</f>
        <v>20.106176000000001</v>
      </c>
      <c r="J17" s="9" t="s">
        <v>24</v>
      </c>
      <c r="K17" s="15" t="s">
        <v>32</v>
      </c>
      <c r="L17" s="18">
        <f>INT($E$25/(0.8^2*3.14159))+1</f>
        <v>2</v>
      </c>
      <c r="M17" s="19">
        <f>L17*(0.8^2*3.14159)</f>
        <v>4.0212352000000005</v>
      </c>
      <c r="N17" s="17" t="s">
        <v>24</v>
      </c>
    </row>
    <row r="18" spans="1:14">
      <c r="D18" s="3" t="s">
        <v>18</v>
      </c>
      <c r="E18">
        <v>0.36199999999999999</v>
      </c>
      <c r="G18" s="7" t="s">
        <v>33</v>
      </c>
      <c r="H18" s="10">
        <f>INT($E$24/(1^2*3.14159))+1</f>
        <v>6</v>
      </c>
      <c r="I18" s="11">
        <f>H18*(1^2*3.14159)</f>
        <v>18.849539999999998</v>
      </c>
      <c r="J18" s="9" t="s">
        <v>24</v>
      </c>
      <c r="K18" s="15" t="s">
        <v>33</v>
      </c>
      <c r="L18" s="18">
        <f>INT($E$25/(1^2*3.14159))+1</f>
        <v>2</v>
      </c>
      <c r="M18" s="19">
        <f>L18*(1^2*3.14159)</f>
        <v>6.2831799999999998</v>
      </c>
      <c r="N18" s="17" t="s">
        <v>24</v>
      </c>
    </row>
    <row r="19" spans="1:14">
      <c r="A19" s="3" t="s">
        <v>14</v>
      </c>
      <c r="B19" s="4">
        <v>1.35</v>
      </c>
      <c r="D19" s="3" t="s">
        <v>52</v>
      </c>
      <c r="E19" s="4">
        <f>0.362*B13*E16^2*B23/100</f>
        <v>152.525442</v>
      </c>
      <c r="F19" t="s">
        <v>45</v>
      </c>
      <c r="G19" s="7" t="s">
        <v>34</v>
      </c>
      <c r="H19" s="10">
        <f>INT($E$24/(1.3^2*3.14159))+1</f>
        <v>4</v>
      </c>
      <c r="I19" s="11">
        <f>H19*(1.3^2*3.14159)</f>
        <v>21.237148400000002</v>
      </c>
      <c r="J19" s="9" t="s">
        <v>24</v>
      </c>
      <c r="K19" s="15" t="s">
        <v>34</v>
      </c>
      <c r="L19" s="18">
        <f>INT($E$25/(1.3^2*3.14159))+1</f>
        <v>1</v>
      </c>
      <c r="M19" s="19">
        <f>L19*(1.3^2*3.14159)</f>
        <v>5.3092871000000006</v>
      </c>
      <c r="N19" s="17" t="s">
        <v>24</v>
      </c>
    </row>
    <row r="20" spans="1:14">
      <c r="A20" s="3" t="s">
        <v>15</v>
      </c>
      <c r="B20" s="4">
        <v>1.5</v>
      </c>
      <c r="D20" s="3" t="s">
        <v>46</v>
      </c>
      <c r="E20" s="4">
        <f>E14-E19</f>
        <v>42.041550187500007</v>
      </c>
      <c r="F20" t="s">
        <v>11</v>
      </c>
      <c r="G20" s="7" t="s">
        <v>35</v>
      </c>
      <c r="H20" s="10">
        <f>INT($E$24/(1.5^2*3.14159))+1</f>
        <v>3</v>
      </c>
      <c r="I20" s="11">
        <f>H20*(1.5^2*3.14159)</f>
        <v>21.2057325</v>
      </c>
      <c r="J20" s="9" t="s">
        <v>24</v>
      </c>
      <c r="K20" s="15" t="s">
        <v>35</v>
      </c>
      <c r="L20" s="18">
        <f>INT($E$25/(1.5^2*3.14159))+1</f>
        <v>1</v>
      </c>
      <c r="M20" s="19">
        <f>L20*(1.5^2*3.14159)</f>
        <v>7.0685775</v>
      </c>
      <c r="N20" s="17" t="s">
        <v>24</v>
      </c>
    </row>
    <row r="21" spans="1:14">
      <c r="D21" s="3" t="s">
        <v>54</v>
      </c>
      <c r="E21" s="5">
        <f>B25/E16</f>
        <v>0.20689655172413793</v>
      </c>
      <c r="G21" s="7" t="s">
        <v>36</v>
      </c>
      <c r="H21" s="10">
        <f>INT($E$24/(1.8^2*3.14159))+1</f>
        <v>2</v>
      </c>
      <c r="I21" s="11">
        <f>H21*(1.8^2*3.14159)</f>
        <v>20.3575032</v>
      </c>
      <c r="J21" s="9" t="s">
        <v>24</v>
      </c>
      <c r="K21" s="15" t="s">
        <v>36</v>
      </c>
      <c r="L21" s="18">
        <f>INT($E$25/(1.8^2*3.14159))+1</f>
        <v>1</v>
      </c>
      <c r="M21" s="19">
        <f>L21*(1.8^2*3.14159)</f>
        <v>10.1787516</v>
      </c>
      <c r="N21" s="17" t="s">
        <v>24</v>
      </c>
    </row>
    <row r="22" spans="1:14">
      <c r="A22" s="2" t="s">
        <v>12</v>
      </c>
      <c r="B22" s="20">
        <v>6</v>
      </c>
      <c r="C22" s="1" t="s">
        <v>5</v>
      </c>
      <c r="D22" s="3" t="s">
        <v>55</v>
      </c>
      <c r="E22" s="28">
        <f>IF(E21&lt;0.188,B24,B24*(0.594-E21)/(1-0.594))</f>
        <v>45.575233565483266</v>
      </c>
      <c r="F22" s="27" t="s">
        <v>17</v>
      </c>
      <c r="G22" s="6" t="s">
        <v>37</v>
      </c>
    </row>
    <row r="23" spans="1:14">
      <c r="A23" s="2" t="s">
        <v>16</v>
      </c>
      <c r="B23" s="20">
        <v>1.67</v>
      </c>
      <c r="C23" s="1" t="s">
        <v>17</v>
      </c>
      <c r="E23" s="28" t="s">
        <v>37</v>
      </c>
    </row>
    <row r="24" spans="1:14">
      <c r="A24" s="2" t="s">
        <v>23</v>
      </c>
      <c r="B24" s="20">
        <v>47.8</v>
      </c>
      <c r="C24" s="1" t="s">
        <v>17</v>
      </c>
      <c r="D24" s="12" t="s">
        <v>44</v>
      </c>
      <c r="E24" s="13">
        <f>E19*100/0.753/E16/B24+E20*100/(E16-B25)/B24</f>
        <v>18.436440556515979</v>
      </c>
      <c r="F24" s="14" t="s">
        <v>24</v>
      </c>
      <c r="G24" s="7" t="s">
        <v>39</v>
      </c>
      <c r="H24" s="11">
        <f>0.0013*B13*E16</f>
        <v>1.131</v>
      </c>
      <c r="I24" s="9" t="s">
        <v>24</v>
      </c>
      <c r="J24" s="9"/>
    </row>
    <row r="25" spans="1:14">
      <c r="A25" s="2" t="s">
        <v>48</v>
      </c>
      <c r="B25" s="20">
        <v>6</v>
      </c>
      <c r="C25" s="1" t="s">
        <v>5</v>
      </c>
      <c r="D25" s="12" t="s">
        <v>47</v>
      </c>
      <c r="E25" s="13">
        <f>E20*100/(E16-B25)/E22</f>
        <v>4.0107166621246062</v>
      </c>
      <c r="F25" s="14" t="s">
        <v>24</v>
      </c>
      <c r="G25" s="7" t="s">
        <v>40</v>
      </c>
      <c r="H25" s="11">
        <f>0.04*B13*B14</f>
        <v>42</v>
      </c>
      <c r="I25" s="9" t="s">
        <v>24</v>
      </c>
      <c r="J25" s="9"/>
    </row>
  </sheetData>
  <sheetProtection password="ACE7" sheet="1" objects="1" scenarios="1" selectLockedCells="1"/>
  <mergeCells count="4">
    <mergeCell ref="G11:J11"/>
    <mergeCell ref="K11:N11"/>
    <mergeCell ref="A1:N2"/>
    <mergeCell ref="F4:N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Bemessung ohne Druckbewehrung</vt:lpstr>
      <vt:lpstr>Bemessung mit Druckbewehrung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2010-03-29T10:39:28Z</dcterms:created>
  <dcterms:modified xsi:type="dcterms:W3CDTF">2014-03-09T18:00:49Z</dcterms:modified>
</cp:coreProperties>
</file>